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venue" sheetId="1" r:id="rId4"/>
    <sheet state="visible" name="Cost of Goods Sold" sheetId="2" r:id="rId5"/>
    <sheet state="visible" name="Gross Margins - Total and by Pr" sheetId="3" r:id="rId6"/>
    <sheet state="visible" name="Margin Mix" sheetId="4" r:id="rId7"/>
  </sheets>
  <definedNames/>
  <calcPr/>
</workbook>
</file>

<file path=xl/sharedStrings.xml><?xml version="1.0" encoding="utf-8"?>
<sst xmlns="http://schemas.openxmlformats.org/spreadsheetml/2006/main" count="232" uniqueCount="103">
  <si>
    <t>Revenue</t>
  </si>
  <si>
    <t>Date of Sale</t>
  </si>
  <si>
    <t>Customer</t>
  </si>
  <si>
    <t>Format</t>
  </si>
  <si>
    <t>Volume (lbs)</t>
  </si>
  <si>
    <t>Price / Lb.</t>
  </si>
  <si>
    <t>Total Sale Value</t>
  </si>
  <si>
    <t>Notes</t>
  </si>
  <si>
    <t>Restaurant A</t>
  </si>
  <si>
    <t>Baby Leaf (Retail)</t>
  </si>
  <si>
    <t>Baby Leaf (Restaurant)</t>
  </si>
  <si>
    <t>Restaurant B</t>
  </si>
  <si>
    <t>Farmers Market</t>
  </si>
  <si>
    <t>Distributor Z</t>
  </si>
  <si>
    <t>Mature Leaf (Distributor)</t>
  </si>
  <si>
    <t>Aggregator Y</t>
  </si>
  <si>
    <t>Whole Kelp (Aggregator)</t>
  </si>
  <si>
    <t>TOTAL VOLUME</t>
  </si>
  <si>
    <t>TOTAL REVENUE</t>
  </si>
  <si>
    <t>Product Type</t>
  </si>
  <si>
    <t>Price</t>
  </si>
  <si>
    <t>Costs of Goods Sold</t>
  </si>
  <si>
    <t>Category</t>
  </si>
  <si>
    <t>Item</t>
  </si>
  <si>
    <t>Price / Each</t>
  </si>
  <si>
    <t>Quantity</t>
  </si>
  <si>
    <t>Season Total</t>
  </si>
  <si>
    <t>Type</t>
  </si>
  <si>
    <t>Outplanting</t>
  </si>
  <si>
    <t>Seed spools</t>
  </si>
  <si>
    <t>Variable</t>
  </si>
  <si>
    <t>Gas</t>
  </si>
  <si>
    <t>Completed outplanting over 2 days</t>
  </si>
  <si>
    <t>Labor</t>
  </si>
  <si>
    <t>Two 8-hour days for both business co-owners</t>
  </si>
  <si>
    <t>Maintenance</t>
  </si>
  <si>
    <t>Fixed</t>
  </si>
  <si>
    <t>Estimated 4 gallons per visit x $3.50/gallon, 1 visit per week, 22 weeks Jan 1 - May 31</t>
  </si>
  <si>
    <t>Estimated 3 hours per visit x 1 visit per week for 22 weeks</t>
  </si>
  <si>
    <t>Harvest</t>
  </si>
  <si>
    <t>Water Sample</t>
  </si>
  <si>
    <t>Required by state</t>
  </si>
  <si>
    <t>Completed wholesale harvest over 4 days</t>
  </si>
  <si>
    <t xml:space="preserve">Two co-owners + two contractors harvesting over 4 days, each day was 6 hours </t>
  </si>
  <si>
    <t>Forklift rental</t>
  </si>
  <si>
    <t>Rented forklift for 2 hours each of 4 days of harvest</t>
  </si>
  <si>
    <t>Value-Add</t>
  </si>
  <si>
    <t>Deli Boxes</t>
  </si>
  <si>
    <t>For farmers market customers, ~⅓ lb in each box</t>
  </si>
  <si>
    <t>Insulated 10# Fish Boxes</t>
  </si>
  <si>
    <t>For restaurant customers, ~5 lbs per box</t>
  </si>
  <si>
    <t>Insulated 50# Fish Boxes</t>
  </si>
  <si>
    <t>For distribution customers, ~25 lbs per box</t>
  </si>
  <si>
    <t>TOTAL COGS</t>
  </si>
  <si>
    <t>Gross Margins by Product</t>
  </si>
  <si>
    <t>Total Product Portfolio Average</t>
  </si>
  <si>
    <t>Volume Sold</t>
  </si>
  <si>
    <t>Total wet lbs sold</t>
  </si>
  <si>
    <t>Total sales across all customers and product types</t>
  </si>
  <si>
    <t>COGS</t>
  </si>
  <si>
    <t>Total costs to produce all products</t>
  </si>
  <si>
    <t>Gross Profit</t>
  </si>
  <si>
    <t>Total profit earned from selling all products</t>
  </si>
  <si>
    <t>Gross Margin (%)</t>
  </si>
  <si>
    <t>Total gross profit as a percent of revenue</t>
  </si>
  <si>
    <t>Gross Margin ($)</t>
  </si>
  <si>
    <t>Total gross profit as a $ per lb. wet weight</t>
  </si>
  <si>
    <t>Variable COGS</t>
  </si>
  <si>
    <t>Contribution Margin ($)</t>
  </si>
  <si>
    <t>The average amount a pound of seaweed "contributes" to covering fixed expenses</t>
  </si>
  <si>
    <t>Product: Baby Leaf (Retail)</t>
  </si>
  <si>
    <t>Wet lbs</t>
  </si>
  <si>
    <t>Sales from two farmers markets</t>
  </si>
  <si>
    <t>Weighted % of costs through water sampling (harvest happened on weekly visits), plus deli boxes</t>
  </si>
  <si>
    <t>Total profit earned from selling baby leaf kelp via retail</t>
  </si>
  <si>
    <t>Gross profit as a percent of revenue</t>
  </si>
  <si>
    <t>Gross profit as $ per lb. wet weight</t>
  </si>
  <si>
    <t>Only the COGS that correlate with product volume</t>
  </si>
  <si>
    <t>The amount a pound of seaweed sold in this format "contributes" to covering fixed expenses</t>
  </si>
  <si>
    <t>Product: Baby Leaf (Restaurant)</t>
  </si>
  <si>
    <t>Sales from two restaurants</t>
  </si>
  <si>
    <t>Weighted % of costs through water sampling (harvest happened on weekly visits), plus 10# fish boxes</t>
  </si>
  <si>
    <t>Total profit earned from selling baby leaf kelp via restaurants</t>
  </si>
  <si>
    <t>Product: Mature Leaf (Distributor)</t>
  </si>
  <si>
    <t>Two sales to a single distributor</t>
  </si>
  <si>
    <t>Weighted % of costs through water sampling, plus 1/4 of harvest costs excluding forklift, plus 50# fish boxes</t>
  </si>
  <si>
    <t>Total profit earned from selling mature kelp via distributor</t>
  </si>
  <si>
    <t>Product: Whole Kelp (Aggregator)</t>
  </si>
  <si>
    <t>One bulk sale to a single aggregator</t>
  </si>
  <si>
    <t>Weighted % of costs through water sampling, plus ¾ of harvest costs, plus forklift, plus brailer bags</t>
  </si>
  <si>
    <t>Total profit earned from selling whole kelp via aggregator</t>
  </si>
  <si>
    <t>Margin Mix</t>
  </si>
  <si>
    <t>Scenario 1: Actual 2021 Sales</t>
  </si>
  <si>
    <t>Product</t>
  </si>
  <si>
    <t>% of Sales</t>
  </si>
  <si>
    <t>Weighted Margin ($)</t>
  </si>
  <si>
    <t>Total Gross Margin ($/lb)</t>
  </si>
  <si>
    <t>Total Gross Profit</t>
  </si>
  <si>
    <t>Total Gross Margin (%)</t>
  </si>
  <si>
    <t>Total Revenue</t>
  </si>
  <si>
    <t>Scenario 2: Shift All Restaurant Sales to Retail</t>
  </si>
  <si>
    <t>Gross Margin ($/lb)</t>
  </si>
  <si>
    <t>Scenario 3: Shift 15% of Aggregator Sales to Distributor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</si>
</sst>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"/>
    <numFmt numFmtId="165" formatCode="&quot;$&quot;#,##0.00"/>
    <numFmt numFmtId="166" formatCode="&quot;$&quot;#,##0"/>
  </numFmts>
  <fonts count="7">
    <font>
      <sz val="10.0"/>
      <color rgb="FF000000"/>
      <name val="Arial"/>
      <scheme val="minor"/>
    </font>
    <font>
      <b/>
      <sz val="24.0"/>
      <color rgb="FFFFFFFF"/>
      <name val="Poppins"/>
    </font>
    <font>
      <b/>
      <color rgb="FF000000"/>
      <name val="Arial"/>
    </font>
    <font>
      <b/>
      <color rgb="FF000000"/>
      <name val="Roboto"/>
    </font>
    <font>
      <color rgb="FF000000"/>
      <name val="Roboto"/>
    </font>
    <font>
      <color theme="1"/>
      <name val="Roboto"/>
    </font>
    <font>
      <b/>
      <color theme="1"/>
      <name val="Roboto"/>
    </font>
  </fonts>
  <fills count="9">
    <fill>
      <patternFill patternType="none"/>
    </fill>
    <fill>
      <patternFill patternType="lightGray"/>
    </fill>
    <fill>
      <patternFill patternType="solid">
        <fgColor rgb="FF2F6E4F"/>
        <bgColor rgb="FF2F6E4F"/>
      </patternFill>
    </fill>
    <fill>
      <patternFill patternType="solid">
        <fgColor rgb="FFFFFFFF"/>
        <bgColor rgb="FFFFFFFF"/>
      </patternFill>
    </fill>
    <fill>
      <patternFill patternType="solid">
        <fgColor rgb="FFA8D08D"/>
        <bgColor rgb="FFA8D08D"/>
      </patternFill>
    </fill>
    <fill>
      <patternFill patternType="solid">
        <fgColor rgb="FFFFF2CC"/>
        <bgColor rgb="FFFFF2CC"/>
      </patternFill>
    </fill>
    <fill>
      <patternFill patternType="solid">
        <fgColor rgb="FFF3F3F3"/>
        <bgColor rgb="FFF3F3F3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3" fontId="2" numFmtId="0" xfId="0" applyAlignment="1" applyFill="1" applyFont="1">
      <alignment horizontal="center" readingOrder="0" shrinkToFit="0" wrapText="1"/>
    </xf>
    <xf borderId="0" fillId="4" fontId="3" numFmtId="0" xfId="0" applyAlignment="1" applyFill="1" applyFont="1">
      <alignment horizontal="left" readingOrder="0" shrinkToFit="0" wrapText="1"/>
    </xf>
    <xf borderId="0" fillId="4" fontId="3" numFmtId="0" xfId="0" applyAlignment="1" applyFont="1">
      <alignment horizontal="right" readingOrder="0" shrinkToFit="0" wrapText="1"/>
    </xf>
    <xf borderId="0" fillId="5" fontId="4" numFmtId="164" xfId="0" applyAlignment="1" applyFill="1" applyFont="1" applyNumberFormat="1">
      <alignment horizontal="left" readingOrder="0" shrinkToFit="0" wrapText="1"/>
    </xf>
    <xf borderId="0" fillId="5" fontId="4" numFmtId="0" xfId="0" applyAlignment="1" applyFont="1">
      <alignment horizontal="left" readingOrder="0" shrinkToFit="0" wrapText="1"/>
    </xf>
    <xf borderId="0" fillId="5" fontId="4" numFmtId="0" xfId="0" applyAlignment="1" applyFont="1">
      <alignment horizontal="right" readingOrder="0" shrinkToFit="0" wrapText="1"/>
    </xf>
    <xf borderId="0" fillId="6" fontId="4" numFmtId="165" xfId="0" applyAlignment="1" applyFill="1" applyFont="1" applyNumberFormat="1">
      <alignment horizontal="right" readingOrder="0" shrinkToFit="0" wrapText="1"/>
    </xf>
    <xf borderId="0" fillId="5" fontId="4" numFmtId="166" xfId="0" applyAlignment="1" applyFont="1" applyNumberFormat="1">
      <alignment horizontal="right" readingOrder="0" shrinkToFit="0" wrapText="1"/>
    </xf>
    <xf borderId="0" fillId="5" fontId="5" numFmtId="0" xfId="0" applyFont="1"/>
    <xf borderId="1" fillId="5" fontId="4" numFmtId="164" xfId="0" applyAlignment="1" applyBorder="1" applyFont="1" applyNumberFormat="1">
      <alignment horizontal="left" readingOrder="0" shrinkToFit="0" wrapText="1"/>
    </xf>
    <xf borderId="1" fillId="5" fontId="4" numFmtId="0" xfId="0" applyAlignment="1" applyBorder="1" applyFont="1">
      <alignment horizontal="left" readingOrder="0" shrinkToFit="0" wrapText="1"/>
    </xf>
    <xf borderId="1" fillId="5" fontId="4" numFmtId="3" xfId="0" applyAlignment="1" applyBorder="1" applyFont="1" applyNumberFormat="1">
      <alignment horizontal="right" readingOrder="0" shrinkToFit="0" wrapText="1"/>
    </xf>
    <xf borderId="1" fillId="6" fontId="4" numFmtId="165" xfId="0" applyAlignment="1" applyBorder="1" applyFont="1" applyNumberFormat="1">
      <alignment horizontal="right" readingOrder="0" shrinkToFit="0" wrapText="1"/>
    </xf>
    <xf borderId="1" fillId="5" fontId="4" numFmtId="166" xfId="0" applyAlignment="1" applyBorder="1" applyFont="1" applyNumberFormat="1">
      <alignment horizontal="right" readingOrder="0" shrinkToFit="0" wrapText="1"/>
    </xf>
    <xf borderId="1" fillId="5" fontId="5" numFmtId="0" xfId="0" applyBorder="1" applyFont="1"/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horizontal="right" readingOrder="0" shrinkToFit="0" vertical="top" wrapText="0"/>
    </xf>
    <xf borderId="0" fillId="0" fontId="6" numFmtId="3" xfId="0" applyAlignment="1" applyFont="1" applyNumberFormat="1">
      <alignment horizontal="right" shrinkToFit="0" vertical="top" wrapText="1"/>
    </xf>
    <xf borderId="0" fillId="0" fontId="3" numFmtId="0" xfId="0" applyAlignment="1" applyFont="1">
      <alignment horizontal="right" readingOrder="0" shrinkToFit="0" wrapText="0"/>
    </xf>
    <xf borderId="0" fillId="0" fontId="6" numFmtId="166" xfId="0" applyAlignment="1" applyFont="1" applyNumberFormat="1">
      <alignment horizontal="right" shrinkToFit="0" vertical="top" wrapText="1"/>
    </xf>
    <xf borderId="0" fillId="0" fontId="5" numFmtId="0" xfId="0" applyFont="1"/>
    <xf borderId="0" fillId="0" fontId="5" numFmtId="0" xfId="0" applyAlignment="1" applyFont="1">
      <alignment horizontal="right"/>
    </xf>
    <xf borderId="2" fillId="4" fontId="6" numFmtId="0" xfId="0" applyAlignment="1" applyBorder="1" applyFont="1">
      <alignment readingOrder="0"/>
    </xf>
    <xf borderId="3" fillId="4" fontId="6" numFmtId="0" xfId="0" applyAlignment="1" applyBorder="1" applyFont="1">
      <alignment horizontal="left" readingOrder="0"/>
    </xf>
    <xf borderId="4" fillId="0" fontId="5" numFmtId="0" xfId="0" applyAlignment="1" applyBorder="1" applyFont="1">
      <alignment readingOrder="0"/>
    </xf>
    <xf borderId="5" fillId="5" fontId="5" numFmtId="165" xfId="0" applyAlignment="1" applyBorder="1" applyFont="1" applyNumberFormat="1">
      <alignment horizontal="left" readingOrder="0"/>
    </xf>
    <xf borderId="6" fillId="0" fontId="5" numFmtId="0" xfId="0" applyAlignment="1" applyBorder="1" applyFont="1">
      <alignment readingOrder="0"/>
    </xf>
    <xf borderId="7" fillId="5" fontId="5" numFmtId="165" xfId="0" applyAlignment="1" applyBorder="1" applyFont="1" applyNumberFormat="1">
      <alignment horizontal="left" readingOrder="0"/>
    </xf>
    <xf borderId="0" fillId="7" fontId="6" numFmtId="0" xfId="0" applyAlignment="1" applyFill="1" applyFont="1">
      <alignment readingOrder="0"/>
    </xf>
    <xf borderId="0" fillId="7" fontId="6" numFmtId="166" xfId="0" applyAlignment="1" applyFont="1" applyNumberFormat="1">
      <alignment readingOrder="0"/>
    </xf>
    <xf borderId="0" fillId="7" fontId="6" numFmtId="0" xfId="0" applyAlignment="1" applyFont="1">
      <alignment horizontal="center" readingOrder="0"/>
    </xf>
    <xf borderId="0" fillId="5" fontId="5" numFmtId="0" xfId="0" applyAlignment="1" applyFont="1">
      <alignment readingOrder="0"/>
    </xf>
    <xf borderId="0" fillId="5" fontId="5" numFmtId="166" xfId="0" applyAlignment="1" applyFont="1" applyNumberFormat="1">
      <alignment readingOrder="0"/>
    </xf>
    <xf borderId="0" fillId="5" fontId="5" numFmtId="0" xfId="0" applyAlignment="1" applyFont="1">
      <alignment horizontal="center" readingOrder="0"/>
    </xf>
    <xf borderId="0" fillId="6" fontId="5" numFmtId="166" xfId="0" applyFont="1" applyNumberFormat="1"/>
    <xf borderId="0" fillId="5" fontId="5" numFmtId="0" xfId="0" applyAlignment="1" applyFont="1">
      <alignment horizontal="center"/>
    </xf>
    <xf borderId="0" fillId="5" fontId="5" numFmtId="165" xfId="0" applyAlignment="1" applyFont="1" applyNumberFormat="1">
      <alignment readingOrder="0"/>
    </xf>
    <xf borderId="1" fillId="5" fontId="5" numFmtId="0" xfId="0" applyAlignment="1" applyBorder="1" applyFont="1">
      <alignment readingOrder="0"/>
    </xf>
    <xf borderId="1" fillId="5" fontId="5" numFmtId="166" xfId="0" applyAlignment="1" applyBorder="1" applyFont="1" applyNumberFormat="1">
      <alignment readingOrder="0"/>
    </xf>
    <xf borderId="1" fillId="5" fontId="5" numFmtId="0" xfId="0" applyAlignment="1" applyBorder="1" applyFont="1">
      <alignment horizontal="center" readingOrder="0"/>
    </xf>
    <xf borderId="1" fillId="6" fontId="5" numFmtId="166" xfId="0" applyBorder="1" applyFont="1" applyNumberFormat="1"/>
    <xf borderId="0" fillId="0" fontId="5" numFmtId="166" xfId="0" applyFont="1" applyNumberFormat="1"/>
    <xf borderId="0" fillId="0" fontId="6" numFmtId="0" xfId="0" applyAlignment="1" applyFont="1">
      <alignment horizontal="right" readingOrder="0"/>
    </xf>
    <xf borderId="0" fillId="0" fontId="6" numFmtId="166" xfId="0" applyFont="1" applyNumberFormat="1"/>
    <xf borderId="0" fillId="0" fontId="5" numFmtId="0" xfId="0" applyAlignment="1" applyFont="1">
      <alignment horizontal="right" readingOrder="0"/>
    </xf>
    <xf borderId="0" fillId="4" fontId="6" numFmtId="0" xfId="0" applyAlignment="1" applyFont="1">
      <alignment readingOrder="0"/>
    </xf>
    <xf borderId="0" fillId="7" fontId="5" numFmtId="0" xfId="0" applyAlignment="1" applyFont="1">
      <alignment readingOrder="0"/>
    </xf>
    <xf borderId="0" fillId="6" fontId="5" numFmtId="3" xfId="0" applyAlignment="1" applyFont="1" applyNumberFormat="1">
      <alignment readingOrder="0"/>
    </xf>
    <xf borderId="0" fillId="6" fontId="5" numFmtId="0" xfId="0" applyAlignment="1" applyFont="1">
      <alignment readingOrder="0"/>
    </xf>
    <xf borderId="0" fillId="7" fontId="5" numFmtId="0" xfId="0" applyAlignment="1" applyFont="1">
      <alignment readingOrder="0"/>
    </xf>
    <xf borderId="0" fillId="6" fontId="5" numFmtId="166" xfId="0" applyAlignment="1" applyFont="1" applyNumberFormat="1">
      <alignment readingOrder="0"/>
    </xf>
    <xf borderId="1" fillId="7" fontId="5" numFmtId="0" xfId="0" applyAlignment="1" applyBorder="1" applyFont="1">
      <alignment readingOrder="0"/>
    </xf>
    <xf borderId="1" fillId="6" fontId="5" numFmtId="166" xfId="0" applyAlignment="1" applyBorder="1" applyFont="1" applyNumberFormat="1">
      <alignment readingOrder="0"/>
    </xf>
    <xf borderId="1" fillId="6" fontId="5" numFmtId="0" xfId="0" applyAlignment="1" applyBorder="1" applyFont="1">
      <alignment readingOrder="0"/>
    </xf>
    <xf borderId="0" fillId="6" fontId="5" numFmtId="10" xfId="0" applyAlignment="1" applyFont="1" applyNumberFormat="1">
      <alignment readingOrder="0"/>
    </xf>
    <xf borderId="1" fillId="6" fontId="5" numFmtId="165" xfId="0" applyAlignment="1" applyBorder="1" applyFont="1" applyNumberFormat="1">
      <alignment readingOrder="0"/>
    </xf>
    <xf borderId="0" fillId="6" fontId="5" numFmtId="165" xfId="0" applyAlignment="1" applyFont="1" applyNumberFormat="1">
      <alignment readingOrder="0"/>
    </xf>
    <xf borderId="0" fillId="6" fontId="5" numFmtId="0" xfId="0" applyAlignment="1" applyFont="1">
      <alignment readingOrder="0"/>
    </xf>
    <xf borderId="0" fillId="3" fontId="6" numFmtId="0" xfId="0" applyAlignment="1" applyFont="1">
      <alignment readingOrder="0"/>
    </xf>
    <xf borderId="0" fillId="6" fontId="5" numFmtId="0" xfId="0" applyFont="1"/>
    <xf borderId="1" fillId="6" fontId="5" numFmtId="165" xfId="0" applyBorder="1" applyFont="1" applyNumberFormat="1"/>
    <xf borderId="0" fillId="6" fontId="5" numFmtId="10" xfId="0" applyFont="1" applyNumberFormat="1"/>
    <xf borderId="0" fillId="6" fontId="5" numFmtId="165" xfId="0" applyAlignment="1" applyFont="1" applyNumberFormat="1">
      <alignment readingOrder="0"/>
    </xf>
    <xf borderId="8" fillId="6" fontId="5" numFmtId="0" xfId="0" applyAlignment="1" applyBorder="1" applyFont="1">
      <alignment readingOrder="0"/>
    </xf>
    <xf borderId="0" fillId="6" fontId="5" numFmtId="165" xfId="0" applyFont="1" applyNumberFormat="1"/>
    <xf borderId="8" fillId="6" fontId="5" numFmtId="165" xfId="0" applyBorder="1" applyFont="1" applyNumberFormat="1"/>
    <xf borderId="0" fillId="6" fontId="5" numFmtId="3" xfId="0" applyFont="1" applyNumberFormat="1"/>
    <xf borderId="8" fillId="7" fontId="5" numFmtId="0" xfId="0" applyAlignment="1" applyBorder="1" applyFont="1">
      <alignment readingOrder="0"/>
    </xf>
    <xf borderId="0" fillId="3" fontId="6" numFmtId="165" xfId="0" applyFont="1" applyNumberFormat="1"/>
    <xf borderId="0" fillId="3" fontId="5" numFmtId="0" xfId="0" applyAlignment="1" applyFont="1">
      <alignment readingOrder="0"/>
    </xf>
    <xf borderId="0" fillId="7" fontId="6" numFmtId="0" xfId="0" applyAlignment="1" applyFont="1">
      <alignment horizontal="right" readingOrder="0"/>
    </xf>
    <xf borderId="0" fillId="6" fontId="5" numFmtId="165" xfId="0" applyAlignment="1" applyFont="1" applyNumberFormat="1">
      <alignment horizontal="center"/>
    </xf>
    <xf borderId="0" fillId="6" fontId="5" numFmtId="0" xfId="0" applyAlignment="1" applyFont="1">
      <alignment horizontal="center"/>
    </xf>
    <xf borderId="0" fillId="6" fontId="5" numFmtId="10" xfId="0" applyAlignment="1" applyFont="1" applyNumberFormat="1">
      <alignment horizontal="center" readingOrder="0"/>
    </xf>
    <xf borderId="0" fillId="6" fontId="5" numFmtId="10" xfId="0" applyAlignment="1" applyFont="1" applyNumberFormat="1">
      <alignment horizontal="center"/>
    </xf>
    <xf borderId="0" fillId="6" fontId="5" numFmtId="165" xfId="0" applyAlignment="1" applyFont="1" applyNumberFormat="1">
      <alignment horizontal="right"/>
    </xf>
    <xf borderId="1" fillId="6" fontId="5" numFmtId="165" xfId="0" applyAlignment="1" applyBorder="1" applyFont="1" applyNumberFormat="1">
      <alignment horizontal="center"/>
    </xf>
    <xf borderId="1" fillId="6" fontId="5" numFmtId="3" xfId="0" applyAlignment="1" applyBorder="1" applyFont="1" applyNumberFormat="1">
      <alignment horizontal="center"/>
    </xf>
    <xf borderId="1" fillId="6" fontId="5" numFmtId="10" xfId="0" applyAlignment="1" applyBorder="1" applyFont="1" applyNumberFormat="1">
      <alignment horizontal="center" readingOrder="0"/>
    </xf>
    <xf borderId="1" fillId="6" fontId="5" numFmtId="10" xfId="0" applyAlignment="1" applyBorder="1" applyFont="1" applyNumberFormat="1">
      <alignment horizontal="center"/>
    </xf>
    <xf borderId="1" fillId="6" fontId="5" numFmtId="165" xfId="0" applyAlignment="1" applyBorder="1" applyFont="1" applyNumberFormat="1">
      <alignment horizontal="right"/>
    </xf>
    <xf borderId="0" fillId="0" fontId="5" numFmtId="0" xfId="0" applyAlignment="1" applyFont="1">
      <alignment horizontal="center"/>
    </xf>
    <xf borderId="0" fillId="0" fontId="6" numFmtId="3" xfId="0" applyAlignment="1" applyFont="1" applyNumberFormat="1">
      <alignment horizontal="center" readingOrder="0"/>
    </xf>
    <xf borderId="0" fillId="0" fontId="6" numFmtId="0" xfId="0" applyAlignment="1" applyFont="1">
      <alignment horizontal="right" readingOrder="0" shrinkToFit="0" wrapText="0"/>
    </xf>
    <xf borderId="0" fillId="6" fontId="6" numFmtId="165" xfId="0" applyAlignment="1" applyFont="1" applyNumberFormat="1">
      <alignment horizontal="center"/>
    </xf>
    <xf borderId="0" fillId="0" fontId="6" numFmtId="0" xfId="0" applyAlignment="1" applyFont="1">
      <alignment horizontal="center" readingOrder="0"/>
    </xf>
    <xf borderId="0" fillId="6" fontId="6" numFmtId="165" xfId="0" applyAlignment="1" applyFont="1" applyNumberFormat="1">
      <alignment horizontal="right"/>
    </xf>
    <xf borderId="0" fillId="6" fontId="6" numFmtId="10" xfId="0" applyAlignment="1" applyFont="1" applyNumberFormat="1">
      <alignment horizontal="center"/>
    </xf>
    <xf borderId="0" fillId="3" fontId="6" numFmtId="0" xfId="0" applyAlignment="1" applyFont="1">
      <alignment horizontal="center" readingOrder="0"/>
    </xf>
    <xf borderId="0" fillId="6" fontId="6" numFmtId="165" xfId="0" applyAlignment="1" applyFont="1" applyNumberFormat="1">
      <alignment horizontal="right"/>
    </xf>
    <xf borderId="0" fillId="3" fontId="5" numFmtId="0" xfId="0" applyAlignment="1" applyFont="1">
      <alignment horizontal="center"/>
    </xf>
    <xf borderId="0" fillId="7" fontId="6" numFmtId="10" xfId="0" applyAlignment="1" applyFont="1" applyNumberFormat="1">
      <alignment horizontal="center" readingOrder="0"/>
    </xf>
    <xf borderId="0" fillId="0" fontId="5" numFmtId="0" xfId="0" applyAlignment="1" applyFont="1">
      <alignment horizontal="center" readingOrder="0"/>
    </xf>
    <xf borderId="1" fillId="0" fontId="5" numFmtId="3" xfId="0" applyAlignment="1" applyBorder="1" applyFont="1" applyNumberFormat="1">
      <alignment horizontal="center" readingOrder="0"/>
    </xf>
    <xf borderId="0" fillId="5" fontId="5" numFmtId="3" xfId="0" applyAlignment="1" applyFont="1" applyNumberFormat="1">
      <alignment horizontal="center" readingOrder="0"/>
    </xf>
    <xf borderId="1" fillId="5" fontId="5" numFmtId="3" xfId="0" applyAlignment="1" applyBorder="1" applyFont="1" applyNumberFormat="1">
      <alignment horizontal="center"/>
    </xf>
    <xf borderId="0" fillId="8" fontId="6" numFmtId="10" xfId="0" applyAlignment="1" applyFill="1" applyFont="1" applyNumberFormat="1">
      <alignment horizontal="center"/>
    </xf>
    <xf borderId="0" fillId="8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8477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8477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8477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84772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75"/>
    <col customWidth="1" min="2" max="2" width="20.38"/>
    <col customWidth="1" min="3" max="3" width="22.38"/>
    <col customWidth="1" min="5" max="5" width="15.13"/>
    <col customWidth="1" min="6" max="6" width="14.5"/>
    <col customWidth="1" min="7" max="7" width="28.75"/>
  </cols>
  <sheetData>
    <row r="1">
      <c r="A1" s="1" t="s">
        <v>0</v>
      </c>
    </row>
    <row r="2" ht="24.0" customHeight="1">
      <c r="A2" s="2"/>
    </row>
    <row r="3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>
      <c r="A4" s="5">
        <v>44298.0</v>
      </c>
      <c r="B4" s="6" t="s">
        <v>8</v>
      </c>
      <c r="C4" s="6" t="s">
        <v>9</v>
      </c>
      <c r="D4" s="7">
        <v>5.0</v>
      </c>
      <c r="E4" s="8">
        <f t="shared" ref="E4:E12" si="1">IFS(C4=$A$16,$B$16,C4=$A$17,$B$17,C4=$A$18,$B$18,C4=$A$19,$B$19)</f>
        <v>20</v>
      </c>
      <c r="F4" s="9">
        <f t="shared" ref="F4:F12" si="2">E4*D4</f>
        <v>100</v>
      </c>
      <c r="G4" s="10"/>
    </row>
    <row r="5">
      <c r="A5" s="5">
        <v>44301.0</v>
      </c>
      <c r="B5" s="6" t="s">
        <v>8</v>
      </c>
      <c r="C5" s="6" t="s">
        <v>10</v>
      </c>
      <c r="D5" s="7">
        <v>5.0</v>
      </c>
      <c r="E5" s="8">
        <f t="shared" si="1"/>
        <v>14</v>
      </c>
      <c r="F5" s="9">
        <f t="shared" si="2"/>
        <v>70</v>
      </c>
      <c r="G5" s="10"/>
    </row>
    <row r="6">
      <c r="A6" s="5">
        <v>44301.0</v>
      </c>
      <c r="B6" s="6" t="s">
        <v>11</v>
      </c>
      <c r="C6" s="6" t="s">
        <v>10</v>
      </c>
      <c r="D6" s="7">
        <v>8.0</v>
      </c>
      <c r="E6" s="8">
        <f t="shared" si="1"/>
        <v>14</v>
      </c>
      <c r="F6" s="9">
        <f t="shared" si="2"/>
        <v>112</v>
      </c>
      <c r="G6" s="10"/>
    </row>
    <row r="7">
      <c r="A7" s="5">
        <v>44317.0</v>
      </c>
      <c r="B7" s="6" t="s">
        <v>8</v>
      </c>
      <c r="C7" s="6" t="s">
        <v>10</v>
      </c>
      <c r="D7" s="7">
        <v>5.0</v>
      </c>
      <c r="E7" s="8">
        <f t="shared" si="1"/>
        <v>14</v>
      </c>
      <c r="F7" s="9">
        <f t="shared" si="2"/>
        <v>70</v>
      </c>
      <c r="G7" s="10"/>
    </row>
    <row r="8">
      <c r="A8" s="5">
        <v>44321.0</v>
      </c>
      <c r="B8" s="6" t="s">
        <v>12</v>
      </c>
      <c r="C8" s="6" t="s">
        <v>9</v>
      </c>
      <c r="D8" s="7">
        <v>15.0</v>
      </c>
      <c r="E8" s="8">
        <f t="shared" si="1"/>
        <v>20</v>
      </c>
      <c r="F8" s="9">
        <f t="shared" si="2"/>
        <v>300</v>
      </c>
      <c r="G8" s="10"/>
    </row>
    <row r="9">
      <c r="A9" s="5">
        <v>44326.0</v>
      </c>
      <c r="B9" s="6" t="s">
        <v>8</v>
      </c>
      <c r="C9" s="6" t="s">
        <v>10</v>
      </c>
      <c r="D9" s="7">
        <v>5.0</v>
      </c>
      <c r="E9" s="8">
        <f t="shared" si="1"/>
        <v>14</v>
      </c>
      <c r="F9" s="9">
        <f t="shared" si="2"/>
        <v>70</v>
      </c>
      <c r="G9" s="10"/>
    </row>
    <row r="10">
      <c r="A10" s="5">
        <v>44326.0</v>
      </c>
      <c r="B10" s="6" t="s">
        <v>13</v>
      </c>
      <c r="C10" s="6" t="s">
        <v>14</v>
      </c>
      <c r="D10" s="7">
        <v>200.0</v>
      </c>
      <c r="E10" s="8">
        <f t="shared" si="1"/>
        <v>8</v>
      </c>
      <c r="F10" s="9">
        <f t="shared" si="2"/>
        <v>1600</v>
      </c>
      <c r="G10" s="10"/>
    </row>
    <row r="11">
      <c r="A11" s="5">
        <v>44340.0</v>
      </c>
      <c r="B11" s="6" t="s">
        <v>13</v>
      </c>
      <c r="C11" s="6" t="s">
        <v>14</v>
      </c>
      <c r="D11" s="7">
        <v>400.0</v>
      </c>
      <c r="E11" s="8">
        <f t="shared" si="1"/>
        <v>8</v>
      </c>
      <c r="F11" s="9">
        <f t="shared" si="2"/>
        <v>3200</v>
      </c>
      <c r="G11" s="10"/>
    </row>
    <row r="12">
      <c r="A12" s="11">
        <v>44341.0</v>
      </c>
      <c r="B12" s="12" t="s">
        <v>15</v>
      </c>
      <c r="C12" s="12" t="s">
        <v>16</v>
      </c>
      <c r="D12" s="13">
        <v>10000.0</v>
      </c>
      <c r="E12" s="14">
        <f t="shared" si="1"/>
        <v>2</v>
      </c>
      <c r="F12" s="15">
        <f t="shared" si="2"/>
        <v>20000</v>
      </c>
      <c r="G12" s="16"/>
    </row>
    <row r="13">
      <c r="A13" s="17"/>
      <c r="B13" s="17"/>
      <c r="C13" s="18" t="s">
        <v>17</v>
      </c>
      <c r="D13" s="19">
        <f>SUM(D4:D12)</f>
        <v>10643</v>
      </c>
      <c r="E13" s="20" t="s">
        <v>18</v>
      </c>
      <c r="F13" s="21">
        <f>SUM(F4:F12)</f>
        <v>25522</v>
      </c>
      <c r="G13" s="22"/>
    </row>
    <row r="14">
      <c r="A14" s="22"/>
      <c r="B14" s="22"/>
      <c r="C14" s="22"/>
      <c r="D14" s="23"/>
      <c r="E14" s="23"/>
      <c r="F14" s="22"/>
      <c r="G14" s="22"/>
    </row>
    <row r="15">
      <c r="A15" s="24" t="s">
        <v>19</v>
      </c>
      <c r="B15" s="25" t="s">
        <v>20</v>
      </c>
      <c r="C15" s="22"/>
      <c r="D15" s="23"/>
      <c r="E15" s="23"/>
      <c r="F15" s="22"/>
      <c r="G15" s="22"/>
    </row>
    <row r="16">
      <c r="A16" s="26" t="s">
        <v>9</v>
      </c>
      <c r="B16" s="27">
        <v>20.0</v>
      </c>
      <c r="C16" s="22"/>
      <c r="D16" s="23"/>
      <c r="E16" s="23"/>
      <c r="F16" s="22"/>
      <c r="G16" s="22"/>
    </row>
    <row r="17">
      <c r="A17" s="26" t="s">
        <v>10</v>
      </c>
      <c r="B17" s="27">
        <v>14.0</v>
      </c>
      <c r="C17" s="22"/>
      <c r="D17" s="23"/>
      <c r="E17" s="23"/>
      <c r="F17" s="22"/>
      <c r="G17" s="22"/>
    </row>
    <row r="18">
      <c r="A18" s="26" t="s">
        <v>14</v>
      </c>
      <c r="B18" s="27">
        <v>8.0</v>
      </c>
      <c r="C18" s="22"/>
      <c r="D18" s="23"/>
      <c r="E18" s="23"/>
      <c r="F18" s="22"/>
      <c r="G18" s="22"/>
    </row>
    <row r="19">
      <c r="A19" s="28" t="s">
        <v>16</v>
      </c>
      <c r="B19" s="29">
        <v>2.0</v>
      </c>
      <c r="C19" s="22"/>
      <c r="D19" s="23"/>
      <c r="E19" s="23"/>
      <c r="F19" s="22"/>
      <c r="G19" s="22"/>
    </row>
    <row r="20">
      <c r="A20" s="22"/>
      <c r="B20" s="22"/>
      <c r="C20" s="22"/>
      <c r="D20" s="23"/>
      <c r="E20" s="23"/>
      <c r="F20" s="22"/>
      <c r="G20" s="22"/>
    </row>
  </sheetData>
  <mergeCells count="2">
    <mergeCell ref="A1:G1"/>
    <mergeCell ref="A2:G2"/>
  </mergeCells>
  <dataValidations>
    <dataValidation type="list" allowBlank="1" showInputMessage="1" showErrorMessage="1" prompt="Feel free to edit the table below to suit your needs!" sqref="C4:C12">
      <formula1>$A$16:$A$19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0"/>
    <col customWidth="1" min="4" max="4" width="15.5"/>
    <col customWidth="1" min="6" max="6" width="12.13"/>
    <col customWidth="1" min="7" max="7" width="64.5"/>
  </cols>
  <sheetData>
    <row r="1">
      <c r="A1" s="1" t="s">
        <v>21</v>
      </c>
    </row>
    <row r="2" ht="24.0" customHeight="1">
      <c r="A2" s="2"/>
    </row>
    <row r="3">
      <c r="A3" s="30" t="s">
        <v>22</v>
      </c>
      <c r="B3" s="30" t="s">
        <v>23</v>
      </c>
      <c r="C3" s="31" t="s">
        <v>24</v>
      </c>
      <c r="D3" s="32" t="s">
        <v>25</v>
      </c>
      <c r="E3" s="31" t="s">
        <v>26</v>
      </c>
      <c r="F3" s="31" t="s">
        <v>27</v>
      </c>
      <c r="G3" s="31" t="s">
        <v>7</v>
      </c>
    </row>
    <row r="4">
      <c r="A4" s="33" t="s">
        <v>28</v>
      </c>
      <c r="B4" s="33" t="s">
        <v>29</v>
      </c>
      <c r="C4" s="34">
        <v>120.0</v>
      </c>
      <c r="D4" s="35">
        <v>8.0</v>
      </c>
      <c r="E4" s="36">
        <f t="shared" ref="E4:E15" si="1">D4*C4</f>
        <v>960</v>
      </c>
      <c r="F4" s="33" t="s">
        <v>30</v>
      </c>
      <c r="G4" s="10"/>
    </row>
    <row r="5">
      <c r="A5" s="33" t="s">
        <v>28</v>
      </c>
      <c r="B5" s="33" t="s">
        <v>31</v>
      </c>
      <c r="C5" s="33">
        <v>14.0</v>
      </c>
      <c r="D5" s="35">
        <v>2.0</v>
      </c>
      <c r="E5" s="36">
        <f t="shared" si="1"/>
        <v>28</v>
      </c>
      <c r="F5" s="33" t="s">
        <v>30</v>
      </c>
      <c r="G5" s="33" t="s">
        <v>32</v>
      </c>
    </row>
    <row r="6">
      <c r="A6" s="33" t="s">
        <v>28</v>
      </c>
      <c r="B6" s="33" t="s">
        <v>33</v>
      </c>
      <c r="C6" s="34">
        <v>15.0</v>
      </c>
      <c r="D6" s="35">
        <v>32.0</v>
      </c>
      <c r="E6" s="36">
        <f t="shared" si="1"/>
        <v>480</v>
      </c>
      <c r="F6" s="33" t="s">
        <v>30</v>
      </c>
      <c r="G6" s="33" t="s">
        <v>34</v>
      </c>
    </row>
    <row r="7">
      <c r="A7" s="33" t="s">
        <v>35</v>
      </c>
      <c r="B7" s="33" t="s">
        <v>31</v>
      </c>
      <c r="C7" s="34">
        <v>14.0</v>
      </c>
      <c r="D7" s="35">
        <v>22.0</v>
      </c>
      <c r="E7" s="36">
        <f t="shared" si="1"/>
        <v>308</v>
      </c>
      <c r="F7" s="33" t="s">
        <v>36</v>
      </c>
      <c r="G7" s="33" t="s">
        <v>37</v>
      </c>
    </row>
    <row r="8">
      <c r="A8" s="33" t="s">
        <v>35</v>
      </c>
      <c r="B8" s="33" t="s">
        <v>33</v>
      </c>
      <c r="C8" s="34">
        <v>15.0</v>
      </c>
      <c r="D8" s="37">
        <f>3*22</f>
        <v>66</v>
      </c>
      <c r="E8" s="36">
        <f t="shared" si="1"/>
        <v>990</v>
      </c>
      <c r="F8" s="33" t="s">
        <v>36</v>
      </c>
      <c r="G8" s="33" t="s">
        <v>38</v>
      </c>
    </row>
    <row r="9">
      <c r="A9" s="33" t="s">
        <v>39</v>
      </c>
      <c r="B9" s="33" t="s">
        <v>40</v>
      </c>
      <c r="C9" s="34">
        <v>50.0</v>
      </c>
      <c r="D9" s="35">
        <v>1.0</v>
      </c>
      <c r="E9" s="36">
        <f t="shared" si="1"/>
        <v>50</v>
      </c>
      <c r="F9" s="33" t="s">
        <v>36</v>
      </c>
      <c r="G9" s="33" t="s">
        <v>41</v>
      </c>
    </row>
    <row r="10">
      <c r="A10" s="33" t="s">
        <v>39</v>
      </c>
      <c r="B10" s="33" t="s">
        <v>31</v>
      </c>
      <c r="C10" s="34">
        <v>14.0</v>
      </c>
      <c r="D10" s="35">
        <v>4.0</v>
      </c>
      <c r="E10" s="36">
        <f t="shared" si="1"/>
        <v>56</v>
      </c>
      <c r="F10" s="33" t="s">
        <v>30</v>
      </c>
      <c r="G10" s="33" t="s">
        <v>42</v>
      </c>
    </row>
    <row r="11">
      <c r="A11" s="33" t="s">
        <v>39</v>
      </c>
      <c r="B11" s="33" t="s">
        <v>33</v>
      </c>
      <c r="C11" s="34">
        <v>15.0</v>
      </c>
      <c r="D11" s="37">
        <f>4*6*4</f>
        <v>96</v>
      </c>
      <c r="E11" s="36">
        <f t="shared" si="1"/>
        <v>1440</v>
      </c>
      <c r="F11" s="33" t="s">
        <v>30</v>
      </c>
      <c r="G11" s="33" t="s">
        <v>43</v>
      </c>
    </row>
    <row r="12">
      <c r="A12" s="33" t="s">
        <v>39</v>
      </c>
      <c r="B12" s="33" t="s">
        <v>44</v>
      </c>
      <c r="C12" s="34">
        <v>20.0</v>
      </c>
      <c r="D12" s="37">
        <f>2*4</f>
        <v>8</v>
      </c>
      <c r="E12" s="36">
        <f t="shared" si="1"/>
        <v>160</v>
      </c>
      <c r="F12" s="33" t="s">
        <v>30</v>
      </c>
      <c r="G12" s="33" t="s">
        <v>45</v>
      </c>
    </row>
    <row r="13">
      <c r="A13" s="33" t="s">
        <v>46</v>
      </c>
      <c r="B13" s="33" t="s">
        <v>47</v>
      </c>
      <c r="C13" s="38">
        <v>0.34</v>
      </c>
      <c r="D13" s="35">
        <v>45.0</v>
      </c>
      <c r="E13" s="36">
        <f t="shared" si="1"/>
        <v>15.3</v>
      </c>
      <c r="F13" s="33" t="s">
        <v>30</v>
      </c>
      <c r="G13" s="33" t="s">
        <v>48</v>
      </c>
    </row>
    <row r="14">
      <c r="A14" s="33" t="s">
        <v>46</v>
      </c>
      <c r="B14" s="33" t="s">
        <v>49</v>
      </c>
      <c r="C14" s="34">
        <v>10.0</v>
      </c>
      <c r="D14" s="35">
        <v>6.0</v>
      </c>
      <c r="E14" s="36">
        <f t="shared" si="1"/>
        <v>60</v>
      </c>
      <c r="F14" s="33" t="s">
        <v>30</v>
      </c>
      <c r="G14" s="33" t="s">
        <v>50</v>
      </c>
    </row>
    <row r="15">
      <c r="A15" s="39" t="s">
        <v>46</v>
      </c>
      <c r="B15" s="39" t="s">
        <v>51</v>
      </c>
      <c r="C15" s="40">
        <v>15.0</v>
      </c>
      <c r="D15" s="41">
        <v>24.0</v>
      </c>
      <c r="E15" s="42">
        <f t="shared" si="1"/>
        <v>360</v>
      </c>
      <c r="F15" s="39" t="s">
        <v>30</v>
      </c>
      <c r="G15" s="39" t="s">
        <v>52</v>
      </c>
    </row>
    <row r="16">
      <c r="A16" s="22"/>
      <c r="B16" s="22"/>
      <c r="C16" s="43"/>
      <c r="D16" s="44" t="s">
        <v>53</v>
      </c>
      <c r="E16" s="45">
        <f>SUM(E4:E15)</f>
        <v>4907.3</v>
      </c>
      <c r="F16" s="22"/>
      <c r="G16" s="22"/>
    </row>
    <row r="17">
      <c r="A17" s="22"/>
      <c r="B17" s="22"/>
      <c r="C17" s="43"/>
      <c r="D17" s="46" t="s">
        <v>30</v>
      </c>
      <c r="E17" s="43">
        <f>sumif(F4:F15,"Variable",E4:E15)</f>
        <v>3559.3</v>
      </c>
      <c r="F17" s="22"/>
      <c r="G17" s="22"/>
    </row>
    <row r="18">
      <c r="A18" s="22"/>
      <c r="B18" s="22"/>
      <c r="C18" s="43"/>
      <c r="D18" s="46" t="s">
        <v>36</v>
      </c>
      <c r="E18" s="43">
        <f>sumif(F4:F15,"Fixed",E4:E15)</f>
        <v>1348</v>
      </c>
      <c r="F18" s="22"/>
      <c r="G18" s="22"/>
    </row>
  </sheetData>
  <mergeCells count="2">
    <mergeCell ref="A1:G1"/>
    <mergeCell ref="A2:G2"/>
  </mergeCells>
  <dataValidations>
    <dataValidation type="list" allowBlank="1" showErrorMessage="1" sqref="F4:F15">
      <formula1>$D$17:$D$18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20.13"/>
    <col customWidth="1" min="3" max="3" width="94.88"/>
  </cols>
  <sheetData>
    <row r="1">
      <c r="A1" s="1" t="s">
        <v>54</v>
      </c>
    </row>
    <row r="2" ht="24.0" customHeight="1">
      <c r="A2" s="2"/>
    </row>
    <row r="3">
      <c r="A3" s="47" t="s">
        <v>55</v>
      </c>
      <c r="B3" s="47"/>
      <c r="C3" s="47" t="s">
        <v>7</v>
      </c>
    </row>
    <row r="4">
      <c r="A4" s="48" t="s">
        <v>56</v>
      </c>
      <c r="B4" s="49">
        <f>Revenue!D13</f>
        <v>10643</v>
      </c>
      <c r="C4" s="50" t="s">
        <v>57</v>
      </c>
    </row>
    <row r="5">
      <c r="A5" s="51" t="s">
        <v>0</v>
      </c>
      <c r="B5" s="52">
        <f>Revenue!F13</f>
        <v>25522</v>
      </c>
      <c r="C5" s="50" t="s">
        <v>58</v>
      </c>
    </row>
    <row r="6">
      <c r="A6" s="53" t="s">
        <v>59</v>
      </c>
      <c r="B6" s="54">
        <f>'Cost of Goods Sold'!E16</f>
        <v>4907.3</v>
      </c>
      <c r="C6" s="55" t="s">
        <v>60</v>
      </c>
    </row>
    <row r="7">
      <c r="A7" s="51" t="s">
        <v>61</v>
      </c>
      <c r="B7" s="52">
        <f>(B5-B6)</f>
        <v>20614.7</v>
      </c>
      <c r="C7" s="50" t="s">
        <v>62</v>
      </c>
    </row>
    <row r="8">
      <c r="A8" s="51" t="s">
        <v>63</v>
      </c>
      <c r="B8" s="56">
        <f>B7/B5</f>
        <v>0.807722749</v>
      </c>
      <c r="C8" s="50" t="s">
        <v>64</v>
      </c>
    </row>
    <row r="9">
      <c r="A9" s="53" t="s">
        <v>65</v>
      </c>
      <c r="B9" s="57">
        <f>B7/B4</f>
        <v>1.936925679</v>
      </c>
      <c r="C9" s="55" t="s">
        <v>66</v>
      </c>
    </row>
    <row r="10">
      <c r="A10" s="51" t="s">
        <v>67</v>
      </c>
      <c r="B10" s="52">
        <f>'Cost of Goods Sold'!E17</f>
        <v>3559.3</v>
      </c>
      <c r="C10" s="50" t="s">
        <v>62</v>
      </c>
    </row>
    <row r="11">
      <c r="A11" s="51" t="s">
        <v>68</v>
      </c>
      <c r="B11" s="58">
        <f>(B5-B10)/B4</f>
        <v>2.063581697</v>
      </c>
      <c r="C11" s="59" t="s">
        <v>69</v>
      </c>
    </row>
    <row r="12">
      <c r="A12" s="60"/>
      <c r="B12" s="60"/>
      <c r="C12" s="60"/>
    </row>
    <row r="13">
      <c r="A13" s="47" t="s">
        <v>70</v>
      </c>
      <c r="B13" s="47"/>
      <c r="C13" s="47" t="s">
        <v>7</v>
      </c>
    </row>
    <row r="14">
      <c r="A14" s="51" t="s">
        <v>56</v>
      </c>
      <c r="B14" s="61">
        <f>sum(Revenue!D8)</f>
        <v>15</v>
      </c>
      <c r="C14" s="50" t="s">
        <v>71</v>
      </c>
    </row>
    <row r="15">
      <c r="A15" s="51" t="s">
        <v>0</v>
      </c>
      <c r="B15" s="36">
        <f>Revenue!F8</f>
        <v>300</v>
      </c>
      <c r="C15" s="50" t="s">
        <v>72</v>
      </c>
    </row>
    <row r="16">
      <c r="A16" s="53" t="s">
        <v>59</v>
      </c>
      <c r="B16" s="62">
        <f>(sum('Cost of Goods Sold'!$E$4:$E$9)*$B$14/Revenue!$D$13)+'Cost of Goods Sold'!$E$13</f>
        <v>19.26880579</v>
      </c>
      <c r="C16" s="55" t="s">
        <v>73</v>
      </c>
    </row>
    <row r="17">
      <c r="A17" s="51" t="s">
        <v>61</v>
      </c>
      <c r="B17" s="36">
        <f>B15-B16</f>
        <v>280.7311942</v>
      </c>
      <c r="C17" s="50" t="s">
        <v>74</v>
      </c>
    </row>
    <row r="18">
      <c r="A18" s="51" t="s">
        <v>63</v>
      </c>
      <c r="B18" s="63">
        <f>B17/B15</f>
        <v>0.9357706474</v>
      </c>
      <c r="C18" s="50" t="s">
        <v>75</v>
      </c>
    </row>
    <row r="19">
      <c r="A19" s="53" t="s">
        <v>65</v>
      </c>
      <c r="B19" s="62">
        <f>B17/B14</f>
        <v>18.71541295</v>
      </c>
      <c r="C19" s="55" t="s">
        <v>76</v>
      </c>
    </row>
    <row r="20">
      <c r="A20" s="48" t="s">
        <v>67</v>
      </c>
      <c r="B20" s="64">
        <f>(sum('Cost of Goods Sold'!$E$4:$E$6)*$B$14/Revenue!$D$13)+'Cost of Goods Sold'!$E$13</f>
        <v>17.36896552</v>
      </c>
      <c r="C20" s="65" t="s">
        <v>77</v>
      </c>
    </row>
    <row r="21">
      <c r="A21" s="51" t="s">
        <v>68</v>
      </c>
      <c r="B21" s="66">
        <f>(B15-B20)/B14</f>
        <v>18.84206897</v>
      </c>
      <c r="C21" s="50" t="s">
        <v>78</v>
      </c>
    </row>
    <row r="22">
      <c r="A22" s="22"/>
      <c r="B22" s="22"/>
      <c r="C22" s="22"/>
    </row>
    <row r="23">
      <c r="A23" s="47" t="s">
        <v>79</v>
      </c>
      <c r="B23" s="47"/>
      <c r="C23" s="47" t="s">
        <v>7</v>
      </c>
    </row>
    <row r="24">
      <c r="A24" s="51" t="s">
        <v>56</v>
      </c>
      <c r="B24" s="61">
        <f>sum(Revenue!D4:D7,Revenue!D9)</f>
        <v>28</v>
      </c>
      <c r="C24" s="50" t="s">
        <v>71</v>
      </c>
    </row>
    <row r="25">
      <c r="A25" s="51" t="s">
        <v>0</v>
      </c>
      <c r="B25" s="36">
        <f>sum(Revenue!F4,Revenue!F5,Revenue!F6,Revenue!F7,Revenue!F9)</f>
        <v>422</v>
      </c>
      <c r="C25" s="50" t="s">
        <v>80</v>
      </c>
    </row>
    <row r="26">
      <c r="A26" s="53" t="s">
        <v>59</v>
      </c>
      <c r="B26" s="62">
        <f>(sum('Cost of Goods Sold'!$E$4:$E$9)*$B$24/Revenue!$D$13)+'Cost of Goods Sold'!$E$14</f>
        <v>67.40843747</v>
      </c>
      <c r="C26" s="55" t="s">
        <v>81</v>
      </c>
    </row>
    <row r="27">
      <c r="A27" s="51" t="s">
        <v>61</v>
      </c>
      <c r="B27" s="36">
        <f>B25-B26</f>
        <v>354.5915625</v>
      </c>
      <c r="C27" s="50" t="s">
        <v>82</v>
      </c>
    </row>
    <row r="28">
      <c r="A28" s="51" t="s">
        <v>63</v>
      </c>
      <c r="B28" s="63">
        <f>B27/B25</f>
        <v>0.8402643662</v>
      </c>
      <c r="C28" s="50" t="s">
        <v>75</v>
      </c>
    </row>
    <row r="29">
      <c r="A29" s="53" t="s">
        <v>65</v>
      </c>
      <c r="B29" s="66">
        <f>B27/B24</f>
        <v>12.66398438</v>
      </c>
      <c r="C29" s="55" t="s">
        <v>76</v>
      </c>
    </row>
    <row r="30">
      <c r="A30" s="48" t="s">
        <v>67</v>
      </c>
      <c r="B30" s="67">
        <f>(sum('Cost of Goods Sold'!$E$4:$E$6)*$B$24/Revenue!$D$13)+'Cost of Goods Sold'!$E$14</f>
        <v>63.86206897</v>
      </c>
      <c r="C30" s="65" t="s">
        <v>77</v>
      </c>
    </row>
    <row r="31">
      <c r="A31" s="51" t="s">
        <v>68</v>
      </c>
      <c r="B31" s="66">
        <f>(B25-B30)/B24</f>
        <v>12.79064039</v>
      </c>
      <c r="C31" s="50" t="s">
        <v>78</v>
      </c>
    </row>
    <row r="32">
      <c r="A32" s="22"/>
      <c r="B32" s="22"/>
      <c r="C32" s="22"/>
    </row>
    <row r="33">
      <c r="A33" s="47" t="s">
        <v>83</v>
      </c>
      <c r="B33" s="47"/>
      <c r="C33" s="47" t="s">
        <v>7</v>
      </c>
    </row>
    <row r="34">
      <c r="A34" s="51" t="s">
        <v>56</v>
      </c>
      <c r="B34" s="61">
        <f>sum(Revenue!D10:D11)</f>
        <v>600</v>
      </c>
      <c r="C34" s="50" t="s">
        <v>71</v>
      </c>
    </row>
    <row r="35">
      <c r="A35" s="51" t="s">
        <v>0</v>
      </c>
      <c r="B35" s="36">
        <f>sum(Revenue!F10:F11)</f>
        <v>4800</v>
      </c>
      <c r="C35" s="50" t="s">
        <v>84</v>
      </c>
    </row>
    <row r="36">
      <c r="A36" s="53" t="s">
        <v>59</v>
      </c>
      <c r="B36" s="62">
        <f>(sum('Cost of Goods Sold'!$E$4:$E$9)*($B$34/Revenue!$D$13)+(0.25*(sum('Cost of Goods Sold'!$E$10:$E$11))+'Cost of Goods Sold'!$E$15))</f>
        <v>892.7522315</v>
      </c>
      <c r="C36" s="55" t="s">
        <v>85</v>
      </c>
    </row>
    <row r="37">
      <c r="A37" s="51" t="s">
        <v>61</v>
      </c>
      <c r="B37" s="36">
        <f>B35-B36</f>
        <v>3907.247768</v>
      </c>
      <c r="C37" s="50" t="s">
        <v>86</v>
      </c>
    </row>
    <row r="38">
      <c r="A38" s="51" t="s">
        <v>63</v>
      </c>
      <c r="B38" s="63">
        <f>B37/B35</f>
        <v>0.8140099518</v>
      </c>
      <c r="C38" s="50" t="s">
        <v>75</v>
      </c>
    </row>
    <row r="39">
      <c r="A39" s="53" t="s">
        <v>65</v>
      </c>
      <c r="B39" s="66">
        <f>B37/B34</f>
        <v>6.512079614</v>
      </c>
      <c r="C39" s="55" t="s">
        <v>76</v>
      </c>
    </row>
    <row r="40">
      <c r="A40" s="51" t="s">
        <v>67</v>
      </c>
      <c r="B40" s="67">
        <f>(sum('Cost of Goods Sold'!$E$4:$E$6)*($B$34/Revenue!$D$13)+(0.25*(sum('Cost of Goods Sold'!$E$10:$E$11))+'Cost of Goods Sold'!$E$15))</f>
        <v>816.7586207</v>
      </c>
      <c r="C40" s="65" t="s">
        <v>77</v>
      </c>
    </row>
    <row r="41">
      <c r="A41" s="51" t="s">
        <v>68</v>
      </c>
      <c r="B41" s="66">
        <f>(B35-B40)/B34</f>
        <v>6.638735632</v>
      </c>
      <c r="C41" s="50" t="s">
        <v>78</v>
      </c>
    </row>
    <row r="42">
      <c r="A42" s="22"/>
      <c r="B42" s="22"/>
      <c r="C42" s="22"/>
    </row>
    <row r="43">
      <c r="A43" s="47" t="s">
        <v>87</v>
      </c>
      <c r="B43" s="47"/>
      <c r="C43" s="47" t="s">
        <v>7</v>
      </c>
    </row>
    <row r="44">
      <c r="A44" s="51" t="s">
        <v>56</v>
      </c>
      <c r="B44" s="68">
        <f>Revenue!D12</f>
        <v>10000</v>
      </c>
      <c r="C44" s="50" t="s">
        <v>71</v>
      </c>
    </row>
    <row r="45">
      <c r="A45" s="51" t="s">
        <v>0</v>
      </c>
      <c r="B45" s="36">
        <f>Revenue!F12</f>
        <v>20000</v>
      </c>
      <c r="C45" s="50" t="s">
        <v>88</v>
      </c>
    </row>
    <row r="46">
      <c r="A46" s="53" t="s">
        <v>59</v>
      </c>
      <c r="B46" s="42">
        <f>(sum('Cost of Goods Sold'!$E$4:$E$9)*($B$44/Revenue!$D$13)+(0.75*(sum('Cost of Goods Sold'!$E$10:$E$11))+'Cost of Goods Sold'!$E$12))</f>
        <v>3927.870525</v>
      </c>
      <c r="C46" s="55" t="s">
        <v>89</v>
      </c>
    </row>
    <row r="47">
      <c r="A47" s="51" t="s">
        <v>61</v>
      </c>
      <c r="B47" s="36">
        <f>B45-B46</f>
        <v>16072.12947</v>
      </c>
      <c r="C47" s="50" t="s">
        <v>90</v>
      </c>
    </row>
    <row r="48">
      <c r="A48" s="51" t="s">
        <v>63</v>
      </c>
      <c r="B48" s="63">
        <f>B47/B45</f>
        <v>0.8036064737</v>
      </c>
      <c r="C48" s="50" t="s">
        <v>75</v>
      </c>
    </row>
    <row r="49">
      <c r="A49" s="51" t="s">
        <v>65</v>
      </c>
      <c r="B49" s="66">
        <f>B47/B44</f>
        <v>1.607212947</v>
      </c>
      <c r="C49" s="50" t="s">
        <v>76</v>
      </c>
    </row>
    <row r="50">
      <c r="A50" s="69" t="s">
        <v>67</v>
      </c>
      <c r="B50" s="67">
        <f>(sum('Cost of Goods Sold'!$E$4:$E$6)*($B$44/Revenue!$D$13)+(0.75*(sum('Cost of Goods Sold'!$E$15))+'Cost of Goods Sold'!$E$12))</f>
        <v>1809.310345</v>
      </c>
      <c r="C50" s="65" t="s">
        <v>77</v>
      </c>
    </row>
    <row r="51">
      <c r="A51" s="51" t="s">
        <v>68</v>
      </c>
      <c r="B51" s="66">
        <f>(B45-B50)/B44</f>
        <v>1.819068966</v>
      </c>
      <c r="C51" s="50" t="s">
        <v>78</v>
      </c>
    </row>
    <row r="52">
      <c r="A52" s="60"/>
      <c r="B52" s="70"/>
      <c r="C52" s="71"/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38"/>
    <col customWidth="1" min="2" max="2" width="16.88"/>
    <col customWidth="1" min="3" max="3" width="20.63"/>
    <col customWidth="1" min="4" max="4" width="19.13"/>
    <col customWidth="1" min="5" max="5" width="16.75"/>
    <col customWidth="1" min="6" max="6" width="18.88"/>
    <col customWidth="1" min="7" max="7" width="16.75"/>
  </cols>
  <sheetData>
    <row r="1">
      <c r="A1" s="1" t="s">
        <v>91</v>
      </c>
    </row>
    <row r="2" ht="24.0" customHeight="1">
      <c r="A2" s="2"/>
    </row>
    <row r="3">
      <c r="A3" s="47" t="s">
        <v>92</v>
      </c>
    </row>
    <row r="4">
      <c r="A4" s="30" t="s">
        <v>93</v>
      </c>
      <c r="B4" s="32" t="s">
        <v>65</v>
      </c>
      <c r="C4" s="32" t="s">
        <v>56</v>
      </c>
      <c r="D4" s="32" t="s">
        <v>94</v>
      </c>
      <c r="E4" s="32" t="s">
        <v>95</v>
      </c>
      <c r="F4" s="32" t="s">
        <v>91</v>
      </c>
      <c r="G4" s="72" t="s">
        <v>61</v>
      </c>
    </row>
    <row r="5">
      <c r="A5" s="51" t="s">
        <v>9</v>
      </c>
      <c r="B5" s="73">
        <f>'Gross Margins - Total and by Pr'!$B$19</f>
        <v>18.71541295</v>
      </c>
      <c r="C5" s="74">
        <f>'Gross Margins - Total and by Pr'!B14</f>
        <v>15</v>
      </c>
      <c r="D5" s="75">
        <f t="shared" ref="D5:D8" si="1">C5/sum($C$5:$C$8)</f>
        <v>0.001409377055</v>
      </c>
      <c r="E5" s="73">
        <f t="shared" ref="E5:E8" si="2">B5*D5</f>
        <v>0.02637707359</v>
      </c>
      <c r="F5" s="76">
        <f t="shared" ref="F5:F8" si="3">E5/$E$9</f>
        <v>0.01361801017</v>
      </c>
      <c r="G5" s="77">
        <f t="shared" ref="G5:G8" si="4">C5*B5</f>
        <v>280.7311942</v>
      </c>
    </row>
    <row r="6">
      <c r="A6" s="51" t="s">
        <v>10</v>
      </c>
      <c r="B6" s="73">
        <f>'Gross Margins - Total and by Pr'!$B$29</f>
        <v>12.66398438</v>
      </c>
      <c r="C6" s="74">
        <f>'Gross Margins - Total and by Pr'!B24</f>
        <v>28</v>
      </c>
      <c r="D6" s="75">
        <f t="shared" si="1"/>
        <v>0.00263083717</v>
      </c>
      <c r="E6" s="73">
        <f t="shared" si="2"/>
        <v>0.03331688082</v>
      </c>
      <c r="F6" s="76">
        <f t="shared" si="3"/>
        <v>0.01720090821</v>
      </c>
      <c r="G6" s="77">
        <f t="shared" si="4"/>
        <v>354.5915625</v>
      </c>
    </row>
    <row r="7">
      <c r="A7" s="51" t="s">
        <v>14</v>
      </c>
      <c r="B7" s="73">
        <f>'Gross Margins - Total and by Pr'!$B$39</f>
        <v>6.512079614</v>
      </c>
      <c r="C7" s="74">
        <f>'Gross Margins - Total and by Pr'!B34</f>
        <v>600</v>
      </c>
      <c r="D7" s="75">
        <f t="shared" si="1"/>
        <v>0.05637508221</v>
      </c>
      <c r="E7" s="73">
        <f t="shared" si="2"/>
        <v>0.3671190236</v>
      </c>
      <c r="F7" s="76">
        <f t="shared" si="3"/>
        <v>0.1895369697</v>
      </c>
      <c r="G7" s="77">
        <f t="shared" si="4"/>
        <v>3907.247768</v>
      </c>
    </row>
    <row r="8">
      <c r="A8" s="53" t="s">
        <v>16</v>
      </c>
      <c r="B8" s="78">
        <f>'Gross Margins - Total and by Pr'!$B$49</f>
        <v>1.607212947</v>
      </c>
      <c r="C8" s="79">
        <f>'Gross Margins - Total and by Pr'!B44</f>
        <v>10000</v>
      </c>
      <c r="D8" s="80">
        <f t="shared" si="1"/>
        <v>0.9395847036</v>
      </c>
      <c r="E8" s="78">
        <f t="shared" si="2"/>
        <v>1.510112701</v>
      </c>
      <c r="F8" s="81">
        <f t="shared" si="3"/>
        <v>0.779644112</v>
      </c>
      <c r="G8" s="82">
        <f t="shared" si="4"/>
        <v>16072.12947</v>
      </c>
    </row>
    <row r="9">
      <c r="A9" s="22"/>
      <c r="B9" s="83"/>
      <c r="C9" s="84">
        <f>sum(C5:C8)</f>
        <v>10643</v>
      </c>
      <c r="D9" s="85" t="s">
        <v>96</v>
      </c>
      <c r="E9" s="86">
        <f>sum(E5:E8)</f>
        <v>1.936925679</v>
      </c>
      <c r="F9" s="87" t="s">
        <v>97</v>
      </c>
      <c r="G9" s="88">
        <f>sum(G5:G8)</f>
        <v>20614.7</v>
      </c>
    </row>
    <row r="10">
      <c r="A10" s="22"/>
      <c r="B10" s="83"/>
      <c r="D10" s="44" t="s">
        <v>98</v>
      </c>
      <c r="E10" s="89">
        <f>G9/G10</f>
        <v>0.8086733093</v>
      </c>
      <c r="F10" s="90" t="s">
        <v>99</v>
      </c>
      <c r="G10" s="91">
        <f>C5*Revenue!$B$16+C6*Revenue!$B$17+C7*Revenue!$B$18+Revenue!$B$19*C8</f>
        <v>25492</v>
      </c>
    </row>
    <row r="11">
      <c r="A11" s="22"/>
      <c r="B11" s="83"/>
      <c r="C11" s="83"/>
      <c r="D11" s="92"/>
      <c r="E11" s="92"/>
      <c r="F11" s="83"/>
      <c r="G11" s="23"/>
    </row>
    <row r="12">
      <c r="A12" s="47" t="s">
        <v>100</v>
      </c>
    </row>
    <row r="13">
      <c r="A13" s="30" t="s">
        <v>93</v>
      </c>
      <c r="B13" s="32" t="s">
        <v>101</v>
      </c>
      <c r="C13" s="32" t="s">
        <v>56</v>
      </c>
      <c r="D13" s="93" t="s">
        <v>94</v>
      </c>
      <c r="E13" s="32" t="s">
        <v>95</v>
      </c>
      <c r="F13" s="32" t="s">
        <v>91</v>
      </c>
      <c r="G13" s="72" t="s">
        <v>61</v>
      </c>
    </row>
    <row r="14">
      <c r="A14" s="51" t="s">
        <v>9</v>
      </c>
      <c r="B14" s="73">
        <f>'Gross Margins - Total and by Pr'!$B$19</f>
        <v>18.71541295</v>
      </c>
      <c r="C14" s="35">
        <f>15+28</f>
        <v>43</v>
      </c>
      <c r="D14" s="75">
        <f t="shared" ref="D14:D17" si="5">C14/sum($C$5:$C$8)</f>
        <v>0.004040214225</v>
      </c>
      <c r="E14" s="73">
        <f t="shared" ref="E14:E17" si="6">B14*D14</f>
        <v>0.07561427762</v>
      </c>
      <c r="F14" s="76">
        <f t="shared" ref="F14:F17" si="7">E14/$E$18</f>
        <v>0.03872004118</v>
      </c>
      <c r="G14" s="77">
        <f t="shared" ref="G14:G17" si="8">C14*B14</f>
        <v>804.7627567</v>
      </c>
    </row>
    <row r="15">
      <c r="A15" s="51" t="s">
        <v>10</v>
      </c>
      <c r="B15" s="73">
        <f>'Gross Margins - Total and by Pr'!$B$29</f>
        <v>12.66398438</v>
      </c>
      <c r="C15" s="35">
        <v>0.0</v>
      </c>
      <c r="D15" s="75">
        <f t="shared" si="5"/>
        <v>0</v>
      </c>
      <c r="E15" s="73">
        <f t="shared" si="6"/>
        <v>0</v>
      </c>
      <c r="F15" s="76">
        <f t="shared" si="7"/>
        <v>0</v>
      </c>
      <c r="G15" s="77">
        <f t="shared" si="8"/>
        <v>0</v>
      </c>
    </row>
    <row r="16">
      <c r="A16" s="51" t="s">
        <v>14</v>
      </c>
      <c r="B16" s="73">
        <f>'Gross Margins - Total and by Pr'!$B$39</f>
        <v>6.512079614</v>
      </c>
      <c r="C16" s="94">
        <v>600.0</v>
      </c>
      <c r="D16" s="75">
        <f t="shared" si="5"/>
        <v>0.05637508221</v>
      </c>
      <c r="E16" s="73">
        <f t="shared" si="6"/>
        <v>0.3671190236</v>
      </c>
      <c r="F16" s="76">
        <f t="shared" si="7"/>
        <v>0.1879917942</v>
      </c>
      <c r="G16" s="77">
        <f t="shared" si="8"/>
        <v>3907.247768</v>
      </c>
    </row>
    <row r="17">
      <c r="A17" s="53" t="s">
        <v>16</v>
      </c>
      <c r="B17" s="78">
        <f>'Gross Margins - Total and by Pr'!$B$49</f>
        <v>1.607212947</v>
      </c>
      <c r="C17" s="95">
        <v>10000.0</v>
      </c>
      <c r="D17" s="80">
        <f t="shared" si="5"/>
        <v>0.9395847036</v>
      </c>
      <c r="E17" s="78">
        <f t="shared" si="6"/>
        <v>1.510112701</v>
      </c>
      <c r="F17" s="81">
        <f t="shared" si="7"/>
        <v>0.7732881647</v>
      </c>
      <c r="G17" s="82">
        <f t="shared" si="8"/>
        <v>16072.12947</v>
      </c>
    </row>
    <row r="18">
      <c r="A18" s="22"/>
      <c r="B18" s="83"/>
      <c r="C18" s="84">
        <f>sum(C14:C17)</f>
        <v>10643</v>
      </c>
      <c r="D18" s="85" t="s">
        <v>96</v>
      </c>
      <c r="E18" s="86">
        <f>sum(E14:E17)</f>
        <v>1.952846002</v>
      </c>
      <c r="F18" s="87" t="s">
        <v>97</v>
      </c>
      <c r="G18" s="88">
        <f>sum(G14:G17)</f>
        <v>20784.14</v>
      </c>
    </row>
    <row r="19">
      <c r="A19" s="22"/>
      <c r="B19" s="83"/>
      <c r="D19" s="44" t="s">
        <v>98</v>
      </c>
      <c r="E19" s="89">
        <f>G18/G19</f>
        <v>0.8099820733</v>
      </c>
      <c r="F19" s="90" t="s">
        <v>99</v>
      </c>
      <c r="G19" s="91">
        <f>C14*Revenue!$B$16+C15*Revenue!$B$17+C16*Revenue!$B$18+Revenue!$B$19*C17</f>
        <v>25660</v>
      </c>
    </row>
    <row r="20">
      <c r="A20" s="22"/>
      <c r="B20" s="83"/>
      <c r="C20" s="83"/>
      <c r="D20" s="83"/>
      <c r="E20" s="83"/>
      <c r="F20" s="83"/>
      <c r="G20" s="23"/>
    </row>
    <row r="21">
      <c r="A21" s="47" t="s">
        <v>102</v>
      </c>
    </row>
    <row r="22">
      <c r="A22" s="30" t="s">
        <v>93</v>
      </c>
      <c r="B22" s="32" t="s">
        <v>101</v>
      </c>
      <c r="C22" s="32" t="s">
        <v>56</v>
      </c>
      <c r="D22" s="32" t="s">
        <v>94</v>
      </c>
      <c r="E22" s="32" t="s">
        <v>95</v>
      </c>
      <c r="F22" s="32" t="s">
        <v>91</v>
      </c>
      <c r="G22" s="72" t="s">
        <v>61</v>
      </c>
    </row>
    <row r="23">
      <c r="A23" s="51" t="s">
        <v>9</v>
      </c>
      <c r="B23" s="73">
        <f>'Gross Margins - Total and by Pr'!$B$19</f>
        <v>18.71541295</v>
      </c>
      <c r="C23" s="94">
        <v>15.0</v>
      </c>
      <c r="D23" s="75">
        <f t="shared" ref="D23:D26" si="9">C23/sum($C$5:$C$8)</f>
        <v>0.001409377055</v>
      </c>
      <c r="E23" s="73">
        <f t="shared" ref="E23:E26" si="10">B23*D23</f>
        <v>0.02637707359</v>
      </c>
      <c r="F23" s="76">
        <f t="shared" ref="F23:F26" si="11">E23/$E$27</f>
        <v>0.01003615023</v>
      </c>
      <c r="G23" s="77">
        <f t="shared" ref="G23:G26" si="12">C23*B23</f>
        <v>280.7311942</v>
      </c>
    </row>
    <row r="24">
      <c r="A24" s="51" t="s">
        <v>10</v>
      </c>
      <c r="B24" s="73">
        <f>'Gross Margins - Total and by Pr'!$B$29</f>
        <v>12.66398438</v>
      </c>
      <c r="C24" s="94">
        <v>28.0</v>
      </c>
      <c r="D24" s="75">
        <f t="shared" si="9"/>
        <v>0.00263083717</v>
      </c>
      <c r="E24" s="73">
        <f t="shared" si="10"/>
        <v>0.03331688082</v>
      </c>
      <c r="F24" s="76">
        <f t="shared" si="11"/>
        <v>0.01267666104</v>
      </c>
      <c r="G24" s="77">
        <f t="shared" si="12"/>
        <v>354.5915625</v>
      </c>
    </row>
    <row r="25">
      <c r="A25" s="51" t="s">
        <v>14</v>
      </c>
      <c r="B25" s="73">
        <f>'Gross Margins - Total and by Pr'!$B$39</f>
        <v>6.512079614</v>
      </c>
      <c r="C25" s="96">
        <f>C7+0.15*C8</f>
        <v>2100</v>
      </c>
      <c r="D25" s="75">
        <f t="shared" si="9"/>
        <v>0.1973127877</v>
      </c>
      <c r="E25" s="73">
        <f t="shared" si="10"/>
        <v>1.284916583</v>
      </c>
      <c r="F25" s="76">
        <f t="shared" si="11"/>
        <v>0.4888948659</v>
      </c>
      <c r="G25" s="77">
        <f t="shared" si="12"/>
        <v>13675.36719</v>
      </c>
    </row>
    <row r="26">
      <c r="A26" s="53" t="s">
        <v>16</v>
      </c>
      <c r="B26" s="78">
        <f>'Gross Margins - Total and by Pr'!$B$49</f>
        <v>1.607212947</v>
      </c>
      <c r="C26" s="97">
        <f>C8-C8*0.15</f>
        <v>8500</v>
      </c>
      <c r="D26" s="80">
        <f t="shared" si="9"/>
        <v>0.798646998</v>
      </c>
      <c r="E26" s="78">
        <f t="shared" si="10"/>
        <v>1.283595796</v>
      </c>
      <c r="F26" s="81">
        <f t="shared" si="11"/>
        <v>0.4883923228</v>
      </c>
      <c r="G26" s="82">
        <f t="shared" si="12"/>
        <v>13661.31005</v>
      </c>
    </row>
    <row r="27">
      <c r="A27" s="22"/>
      <c r="B27" s="83"/>
      <c r="C27" s="84">
        <f>sum(C23:C26)</f>
        <v>10643</v>
      </c>
      <c r="D27" s="85" t="s">
        <v>96</v>
      </c>
      <c r="E27" s="86">
        <f>sum(E23:E26)</f>
        <v>2.628206333</v>
      </c>
      <c r="F27" s="87" t="s">
        <v>97</v>
      </c>
      <c r="G27" s="88">
        <f>sum(G23:G26)</f>
        <v>27972</v>
      </c>
    </row>
    <row r="28">
      <c r="A28" s="22"/>
      <c r="B28" s="83"/>
      <c r="D28" s="44" t="s">
        <v>98</v>
      </c>
      <c r="E28" s="89">
        <f>G27/G28</f>
        <v>0.8109706599</v>
      </c>
      <c r="F28" s="90" t="s">
        <v>99</v>
      </c>
      <c r="G28" s="91">
        <f>C23*Revenue!$B$16+C24*Revenue!$B$17+C25*Revenue!$B$18+Revenue!$B$19*C26</f>
        <v>34492</v>
      </c>
    </row>
    <row r="29">
      <c r="A29" s="22"/>
      <c r="B29" s="83"/>
      <c r="D29" s="98"/>
      <c r="E29" s="98"/>
      <c r="F29" s="99"/>
      <c r="G29" s="23"/>
    </row>
  </sheetData>
  <mergeCells count="5">
    <mergeCell ref="A1:G1"/>
    <mergeCell ref="A2:G2"/>
    <mergeCell ref="A3:G3"/>
    <mergeCell ref="A12:G12"/>
    <mergeCell ref="A21:G21"/>
  </mergeCells>
  <drawing r:id="rId1"/>
</worksheet>
</file>